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E97E2C1F-1E30-43A8-826B-F29960D48060}" xr6:coauthVersionLast="47" xr6:coauthVersionMax="47" xr10:uidLastSave="{00000000-0000-0000-0000-000000000000}"/>
  <bookViews>
    <workbookView xWindow="1245" yWindow="13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1"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64" i="5"/>
  <c r="AE84" i="5"/>
  <c r="BD53" i="5"/>
  <c r="BD47" i="5"/>
  <c r="BD49" i="5"/>
  <c r="AE41" i="5"/>
  <c r="AE28" i="5"/>
  <c r="H32" i="5"/>
  <c r="AE36" i="5"/>
  <c r="D32" i="5"/>
  <c r="E32" i="5"/>
  <c r="AE34" i="5"/>
  <c r="AE53" i="5"/>
  <c r="B44" i="22"/>
  <c r="AE78" i="5"/>
  <c r="AE33" i="5"/>
  <c r="BD36" i="5"/>
  <c r="AE47" i="5"/>
  <c r="AE83" i="5"/>
  <c r="BD55" i="5"/>
  <c r="BD29" i="5" l="1"/>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Z27" i="15"/>
  <c r="Z24" i="15" s="1"/>
  <c r="F29" i="15"/>
  <c r="F30" i="15"/>
  <c r="F31" i="15"/>
  <c r="F33" i="15"/>
  <c r="D24" i="15"/>
  <c r="R27" i="15" l="1"/>
  <c r="R24" i="15" s="1"/>
  <c r="F28"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<sst xmlns="http://schemas.openxmlformats.org/spreadsheetml/2006/main" count="4493" uniqueCount="572">
  <si>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</si>
  <si>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</si>
  <si>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</si>
  <si>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</si>
  <si>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</si>
  <si>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</si>
  <si>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</si>
  <si>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</si>
  <si>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</si>
  <si>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</si>
  <si>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</si>
  <si>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</si>
  <si>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</si>
  <si>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</si>
  <si>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</si>
  <si>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</si>
  <si>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</si>
  <si>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</si>
  <si>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</si>
  <si>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</si>
  <si>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</si>
  <si>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</si>
  <si>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</si>
  <si>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</si>
  <si>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</si>
  <si>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</si>
  <si>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</si>
  <si>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</si>
  <si>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</si>
  <si>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</si>
  <si>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</si>
  <si>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</si>
  <si>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</si>
  <si>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</si>
  <si>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</si>
  <si>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</si>
  <si>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</si>
  <si>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</si>
  <si>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</si>
  <si>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</si>
  <si>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</si>
  <si>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</si>
  <si>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</si>
  <si>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</si>
  <si>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</si>
  <si>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</si>
  <si>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</si>
  <si>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</si>
  <si>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</si>
  <si>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</si>
  <si>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</si>
  <si>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</si>
  <si>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</si>
  <si>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</si>
  <si>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</si>
  <si>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</si>
  <si>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</si>
  <si>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</si>
  <si>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</si>
  <si>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</si>
  <si>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</si>
  <si>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</si>
  <si>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</si>
  <si>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</si>
  <si>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</si>
  <si>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</si>
  <si>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</si>
  <si>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</si>
  <si>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</si>
  <si>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</si>
  <si>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</si>
  <si>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</si>
  <si>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</si>
  <si>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</si>
  <si>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</si>
  <si>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</si>
  <si>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</si>
  <si>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</si>
  <si>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</si>
  <si>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</si>
  <si>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</si>
  <si>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</si>
  <si>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</si>
  <si>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</si>
  <si>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</si>
  <si>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</si>
  <si>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</si>
  <si>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</si>
  <si>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</si>
  <si>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</si>
  <si>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</si>
  <si>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</si>
  <si>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</si>
  <si>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</si>
  <si>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</si>
  <si>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</si>
  <si>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</si>
  <si>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</si>
  <si>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</si>
  <si>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</si>
  <si>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</si>
  <si>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</si>
  <si>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</si>
  <si>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</si>
  <si>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</si>
  <si>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</si>
  <si>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</si>
  <si>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</si>
  <si>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</si>
  <si>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</si>
  <si>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</si>
  <si>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</si>
  <si>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</si>
  <si>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</si>
  <si>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</si>
  <si>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</si>
  <si>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</si>
  <si>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</si>
  <si>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</si>
  <si>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</si>
  <si>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</si>
  <si>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</si>
  <si>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</si>
  <si>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</si>
  <si>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</si>
  <si>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</si>
  <si>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</si>
  <si>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</si>
  <si>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</si>
  <si>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</si>
  <si>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</si>
  <si>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</si>
  <si>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</si>
  <si>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</si>
  <si>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</si>
  <si>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</si>
  <si>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</si>
  <si>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</si>
  <si>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</si>
  <si>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</si>
  <si>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</si>
  <si>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</si>
  <si>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</si>
  <si>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</si>
  <si>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</si>
  <si>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</si>
  <si>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</si>
  <si>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</si>
  <si>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</si>
  <si>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</si>
  <si>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</si>
  <si>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</si>
  <si>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</si>
  <si>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</si>
  <si>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</si>
  <si>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</si>
  <si>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</si>
  <si>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</si>
  <si>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</si>
  <si>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</si>
  <si>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</si>
  <si>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</si>
  <si>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</si>
  <si>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</si>
  <si>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</si>
  <si>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</si>
  <si>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</si>
  <si>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</si>
  <si>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</si>
  <si>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</si>
  <si>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</si>
  <si>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</si>
  <si>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</si>
  <si>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</si>
  <si>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</si>
  <si>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</si>
  <si>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</si>
  <si>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</si>
  <si>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</si>
  <si>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</si>
  <si>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</si>
  <si>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</si>
  <si>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</si>
  <si>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</si>
  <si>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</si>
  <si>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</si>
  <si>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</si>
  <si>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</si>
  <si>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</si>
  <si>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</si>
  <si>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</si>
  <si>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</si>
  <si>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</si>
  <si>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</si>
  <si>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</si>
  <si>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</si>
  <si>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</si>
  <si>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</si>
  <si>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</si>
  <si>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</si>
  <si>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</si>
  <si>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</si>
  <si>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</si>
  <si>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</si>
  <si>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</si>
  <si>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</si>
  <si>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</si>
  <si>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</si>
  <si>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</si>
  <si>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</si>
  <si>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</si>
  <si>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</si>
  <si>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</si>
  <si>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</si>
  <si>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</si>
  <si>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</si>
  <si>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</si>
  <si>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</si>
  <si>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</si>
  <si>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</si>
  <si>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</si>
  <si>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</si>
  <si>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</si>
  <si>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</si>
  <si>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</si>
  <si>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</si>
  <si>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</si>
  <si>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</si>
  <si>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</si>
  <si>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</si>
  <si>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</si>
  <si>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</si>
  <si>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</si>
  <si>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</si>
  <si>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</si>
  <si>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</si>
  <si>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</si>
  <si>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</si>
  <si>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</si>
  <si>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</si>
  <si>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</si>
  <si>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</si>
  <si>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</si>
  <si>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</si>
  <si>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</si>
  <si>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</si>
  <si>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</si>
  <si>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</si>
  <si>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</si>
  <si>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</si>
  <si>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</si>
  <si>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</si>
  <si>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</si>
  <si>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</si>
  <si>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</si>
  <si>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</si>
  <si>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</si>
  <si>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</si>
  <si>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</si>
  <si>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</si>
  <si>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</si>
  <si>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</si>
  <si>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</si>
  <si>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</si>
  <si>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</si>
  <si>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</si>
  <si>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</si>
  <si>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</si>
  <si>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</si>
  <si>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</si>
  <si>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</si>
  <si>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</si>
  <si>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</si>
  <si>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</si>
  <si>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</si>
  <si>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</si>
  <si>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</si>
  <si>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</si>
  <si>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</si>
  <si>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</si>
  <si>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</si>
  <si>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</si>
  <si>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</si>
  <si>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</si>
  <si>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</si>
  <si>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</si>
  <si>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</si>
  <si>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</si>
  <si>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</si>
  <si>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</si>
  <si>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</si>
  <si>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</si>
  <si>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</si>
  <si>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</si>
  <si>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</si>
  <si>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</si>
  <si>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</si>
  <si>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</si>
  <si>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</si>
  <si>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</si>
  <si>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</si>
  <si>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</si>
  <si>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</si>
  <si>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</si>
  <si>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</si>
  <si>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</si>
  <si>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</si>
  <si>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</si>
  <si>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</si>
  <si>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</si>
  <si>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</si>
  <si>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</si>
  <si>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</si>
  <si>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</si>
  <si>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</si>
  <si>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</si>
  <si>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</si>
  <si>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</si>
  <si>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</si>
  <si>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</si>
  <si>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</si>
  <si>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</si>
  <si>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</si>
  <si>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</si>
  <si>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</si>
  <si>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</si>
  <si>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</si>
  <si>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</si>
  <si>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</si>
  <si>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</si>
  <si>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</si>
  <si>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</si>
  <si>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</si>
  <si>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</si>
  <si>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</si>
  <si>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</si>
  <si>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</si>
  <si>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</si>
  <si>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</si>
  <si>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</si>
  <si>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</si>
  <si>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</si>
  <si>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</si>
  <si>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</si>
  <si>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</si>
  <si>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</si>
  <si>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</si>
  <si>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</si>
  <si>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</si>
  <si>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</si>
  <si>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</si>
  <si>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</si>
  <si>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</si>
  <si>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</si>
  <si>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</si>
  <si>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</si>
  <si>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</si>
  <si>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</si>
  <si>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</si>
  <si>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</si>
  <si>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</si>
  <si>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</si>
  <si>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</si>
  <si>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</si>
  <si>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</si>
  <si>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</si>
  <si>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</si>
  <si>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</si>
  <si>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</si>
  <si>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</si>
  <si>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</si>
  <si>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</si>
  <si>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</si>
  <si>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</si>
  <si>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</si>
  <si>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</si>
  <si>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</si>
  <si>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</si>
  <si>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</si>
  <si>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</si>
  <si>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</si>
  <si>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</si>
  <si>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</si>
  <si>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</si>
  <si>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</si>
  <si>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</si>
  <si>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</si>
  <si>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</si>
  <si>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</si>
  <si>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</si>
  <si>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</si>
  <si>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</si>
  <si>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</si>
  <si>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</si>
  <si>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</si>
  <si>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</si>
  <si>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</si>
  <si>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</si>
  <si>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</si>
  <si>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</si>
  <si>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</si>
  <si>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</si>
  <si>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</si>
  <si>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</si>
  <si>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</si>
  <si>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</si>
  <si>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</si>
  <si>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</si>
  <si>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</si>
  <si>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</si>
  <si>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</si>
  <si>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</si>
  <si>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</si>
  <si>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</si>
  <si>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</si>
  <si>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</si>
  <si>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</si>
  <si>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</si>
  <si>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</si>
  <si>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</si>
  <si>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</si>
  <si>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</si>
  <si>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</si>
  <si>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</si>
  <si>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</si>
  <si>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</si>
  <si>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</si>
  <si>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</si>
  <si>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</si>
  <si>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</si>
  <si>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</si>
  <si>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</si>
  <si>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</si>
  <si>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</si>
  <si>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</si>
  <si>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</si>
  <si>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</si>
  <si>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</si>
  <si>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</si>
  <si>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</si>
  <si>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</si>
  <si>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</si>
  <si>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замены устройств РЗА присоединений ОВ-110-220</t>
  </si>
  <si>
    <t>Утвержденный план</t>
  </si>
  <si>
    <t>Предложение по корректировке утвержденного плана</t>
  </si>
  <si>
    <t>M_00.0021.000021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</si>
  <si>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</si>
  <si>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</si>
  <si>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</si>
  <si>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</si>
  <si>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</si>
  <si>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</si>
  <si>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</si>
  <si>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</si>
  <si>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</si>
  <si>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</si>
  <si>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</si>
  <si>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</si>
  <si>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</si>
  <si>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</si>
  <si>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</si>
  <si>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</si>
  <si>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</si>
  <si>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</si>
  <si>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</si>
  <si>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</si>
  <si>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</si>
  <si>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</si>
  <si>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</si>
  <si>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</si>
  <si>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</si>
  <si>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</si>
  <si>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</si>
  <si>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</si>
  <si>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</si>
  <si>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</si>
  <si>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</si>
  <si>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</si>
  <si>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</si>
  <si>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</si>
  <si>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</si>
  <si>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</si>
  <si>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</si>
  <si>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</si>
  <si>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</si>
  <si>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</si>
  <si>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</si>
  <si>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</si>
  <si>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</si>
  <si>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</si>
  <si>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</si>
  <si>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</si>
  <si>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</si>
  <si>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</si>
  <si>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</si>
  <si>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</si>
  <si>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</si>
  <si>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</si>
  <si>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</si>
  <si>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</si>
  <si>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</si>
  <si>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</si>
  <si>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</si>
  <si>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</si>
  <si>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</si>
  <si>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</si>
  <si>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</si>
  <si>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</si>
  <si>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</si>
  <si>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</si>
  <si>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</si>
  <si>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уточнением НМЦЛ в связи с несостоявшейся закупочной процедуры на ЭТП</t>
  </si>
  <si>
    <t>СМР</t>
  </si>
  <si>
    <t>Выполнение строительно-монтажных и пусконаладочных работ по проекту «Реконструкция ПС 220 кВ Восточная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</si>
  <si>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</si>
  <si>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</si>
  <si>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</si>
  <si>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</si>
  <si>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</si>
  <si>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32312488269</t>
  </si>
  <si>
    <t>да</t>
  </si>
  <si>
    <t>https://www.roseltorg.ru/</t>
  </si>
  <si>
    <t>ИП</t>
  </si>
  <si>
    <t>ООО «ЭКРА-Сибирь»</t>
  </si>
  <si>
    <t>ИП-23-00250 от 01.08.2023</t>
  </si>
  <si>
    <t>ПИР</t>
  </si>
  <si>
    <t>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t>
  </si>
  <si>
    <t>Несостоявшаяся закупочная процедура (низкая стоимость лота)</t>
  </si>
  <si>
    <t>Закупочная процедура признана несостоявшейся</t>
  </si>
  <si>
    <t>ПИР, СМР</t>
  </si>
  <si>
    <t>6948,767</t>
  </si>
  <si>
    <t xml:space="preserve">	32413942422</t>
  </si>
  <si>
    <t>ПИР, СМР\</t>
  </si>
  <si>
    <t>ИП-24-00236 от 15.10.2024</t>
  </si>
  <si>
    <t xml:space="preserve">Выполнение проектно-изыскательских работ по проекту "Реконструкция ПС 220 кВ Восточная в части замены устройств РЗА присоединений ОВ-110-220» </t>
  </si>
  <si>
    <t>ОБЩЕСТВО С ОГРАНИЧЕННОЙ ОТВЕТСТВЕННОСТЬЮ "АКД-ПРОЕКТ"; ОБЩЕСТВО С ОГРАНИЧЕННОЙ ОТВЕТСТВЕННОСТЬЮ "ИНСТИТУТ ПРОЕКТИРОВАНИЯ ЭНЕРГЕТИЧЕСКИХ СИСТЕМ";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</si>
  <si>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476,03; 2020,00; 595,03; 810,00; 545,00</t>
  </si>
  <si>
    <t>382,50;  2020,00; 460,00; 810,00; 425,01</t>
  </si>
  <si>
    <t>ООО "АКД-Проект"</t>
  </si>
  <si>
    <t>ИП-22-00084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</si>
  <si>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</si>
  <si>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</si>
  <si>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</si>
  <si>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421 от 23.05.2023; 
№ 421/1 от 11.09.2023</t>
  </si>
  <si>
    <t>см. комментарии ниже по этапам</t>
  </si>
  <si>
    <t>Смещение срока реализации проекта обусловлено уточнением НМЦЛ в связи с несостоявшейся закупочной процедуры на ЭТП</t>
  </si>
  <si>
    <t>Учет дополнительного объема работ в части ТМ</t>
  </si>
  <si>
    <t>г. Новосибирск</t>
  </si>
  <si>
    <t>не требуется</t>
  </si>
  <si>
    <t>не относится</t>
  </si>
  <si>
    <t>32,99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</si>
  <si>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</si>
  <si>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</si>
  <si>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Восточная</t>
  </si>
  <si>
    <t>9652,89 тыс. руб. с НДС на 1 РЗА ОВ</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</si>
  <si>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</si>
  <si>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</si>
  <si>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П</t>
  </si>
  <si>
    <t>Сибирский Федеральный округ, Новосибирская область, г. Новосибирск</t>
  </si>
  <si>
    <t>1;4</t>
  </si>
  <si>
    <t>ПИР, СМР, ПНР</t>
  </si>
  <si>
    <t>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в части приобретения и монтажа шкафа телекоммуникационного ШНЭ 2082.00Х</t>
  </si>
  <si>
    <t>ОБЩЕСТВО С ОГРАНИЧЕННОЙ ОТВЕТСТВЕННОСТЬЮ "ЭКРА-СИБИРЬ";
ООО "ВеллЭнерджи"</t>
  </si>
  <si>
    <t>4537,41373;
4537,41373</t>
  </si>
  <si>
    <t>4510,18925;
4537,41373</t>
  </si>
  <si>
    <t>https://com.roseltorg.ru/</t>
  </si>
  <si>
    <t>ИП-25-00296 от 15.09.2025</t>
  </si>
  <si>
    <t>50%</t>
  </si>
  <si>
    <t>?</t>
  </si>
  <si>
    <t>0%</t>
  </si>
  <si>
    <t>100%</t>
  </si>
  <si>
    <t>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</si>
</sst>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509</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540</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541</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19.305786265276051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13.331558926054909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11.158339795052761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M_00.0021.000021</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Реконструкция ПС 220 кВ Восточная в части замены устройств РЗА присоединений ОВ-110-220</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506</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505</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12.997143823881233</v>
      </c>
      <c r="D24" s="261">
        <f t="shared" ref="D24:G24" si="0">D25+D26+D27+D32+D33</f>
        <v>19.305786265276051</v>
      </c>
      <c r="E24" s="262">
        <f>J24+N24+R24+V24+Z24+AE24</f>
        <v>13.331558926054909</v>
      </c>
      <c r="F24" s="262">
        <f t="shared" ref="F24:F26" si="1">N24+R24+V24+Z24+AE24</f>
        <v>0</v>
      </c>
      <c r="G24" s="253">
        <f t="shared" si="0"/>
        <v>0.91692233240407983</v>
      </c>
      <c r="H24" s="253">
        <f>H25+H26+H27+H32+H33</f>
        <v>1.3104050312013051</v>
      </c>
      <c r="I24" s="253" t="s">
        <v>424</v>
      </c>
      <c r="J24" s="261">
        <f>J25+J26+J27+J32+J33</f>
        <v>13.331558926054909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1.3104050312013051</v>
      </c>
      <c r="AC24" s="264">
        <f>J24+N24+R24+V24+Z24</f>
        <v>13.331558926054909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10.843844780167881</v>
      </c>
      <c r="D27" s="261">
        <v>11.900490419267069</v>
      </c>
      <c r="E27" s="264">
        <f>J27+N27+R27+V27+Z27+AE27</f>
        <v>11.136100016626598</v>
      </c>
      <c r="F27" s="264">
        <f t="shared" ref="F27:F68" si="8">N27+R27+V27+Z27+AE27</f>
        <v>0</v>
      </c>
      <c r="G27" s="253">
        <v>0.91692233240407983</v>
      </c>
      <c r="H27" s="253">
        <f>SUM(H28:H31)</f>
        <v>0</v>
      </c>
      <c r="I27" s="253" t="s">
        <v>424</v>
      </c>
      <c r="J27" s="261">
        <f>SUM(J28:J31)</f>
        <v>11.136100016626598</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11.136100016626598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0.83933633856046375</v>
      </c>
      <c r="F28" s="264">
        <f t="shared" si="8"/>
        <v>0</v>
      </c>
      <c r="G28" s="254" t="s">
        <v>424</v>
      </c>
      <c r="H28" s="254">
        <v>0</v>
      </c>
      <c r="I28" s="255">
        <v>0</v>
      </c>
      <c r="J28" s="263">
        <v>0.83933633856046375</v>
      </c>
      <c r="K28" s="265" t="s">
        <v>61</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0.83933633856046375</v>
      </c>
      <c r="AE28" s="274">
        <v>0</v>
      </c>
      <c r="AF28" s="274">
        <v>0</v>
      </c>
      <c r="AG28" s="278">
        <v>0</v>
      </c>
      <c r="AH28" s="278">
        <v>0</v>
      </c>
    </row>
    <row r="29" spans="1:34" ht="31.5" x14ac:dyDescent="0.25">
      <c r="A29" s="58" t="s">
        <v>426</v>
      </c>
      <c r="B29" s="42" t="s">
        <v>166</v>
      </c>
      <c r="C29" s="255" t="s">
        <v>424</v>
      </c>
      <c r="D29" s="265" t="s">
        <v>424</v>
      </c>
      <c r="E29" s="264">
        <f t="shared" si="9"/>
        <v>2.3035273317572833</v>
      </c>
      <c r="F29" s="264">
        <f t="shared" si="8"/>
        <v>0</v>
      </c>
      <c r="G29" s="254" t="s">
        <v>424</v>
      </c>
      <c r="H29" s="254">
        <v>0</v>
      </c>
      <c r="I29" s="255">
        <v>0</v>
      </c>
      <c r="J29" s="263">
        <v>2.3035273317572833</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2.3035273317572833</v>
      </c>
      <c r="AD29" s="204"/>
      <c r="AE29" s="274">
        <v>0</v>
      </c>
      <c r="AF29" s="276">
        <v>0</v>
      </c>
      <c r="AG29" s="278">
        <v>0</v>
      </c>
      <c r="AH29" s="278">
        <v>0</v>
      </c>
    </row>
    <row r="30" spans="1:34" x14ac:dyDescent="0.25">
      <c r="A30" s="58" t="s">
        <v>427</v>
      </c>
      <c r="B30" s="42" t="s">
        <v>164</v>
      </c>
      <c r="C30" s="255" t="s">
        <v>424</v>
      </c>
      <c r="D30" s="265" t="s">
        <v>424</v>
      </c>
      <c r="E30" s="264">
        <f t="shared" si="9"/>
        <v>6.1583084856547066</v>
      </c>
      <c r="F30" s="264">
        <f t="shared" si="8"/>
        <v>0</v>
      </c>
      <c r="G30" s="254" t="s">
        <v>424</v>
      </c>
      <c r="H30" s="254">
        <v>0</v>
      </c>
      <c r="I30" s="255">
        <v>0</v>
      </c>
      <c r="J30" s="263">
        <v>6.1583084856547066</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6.1583084856547066</v>
      </c>
      <c r="AD30" s="204"/>
      <c r="AE30" s="274">
        <v>0</v>
      </c>
      <c r="AF30" s="274">
        <v>0</v>
      </c>
      <c r="AG30" s="278">
        <v>0</v>
      </c>
      <c r="AH30" s="278">
        <v>0</v>
      </c>
    </row>
    <row r="31" spans="1:34" x14ac:dyDescent="0.25">
      <c r="A31" s="58" t="s">
        <v>428</v>
      </c>
      <c r="B31" s="42" t="s">
        <v>162</v>
      </c>
      <c r="C31" s="255" t="s">
        <v>424</v>
      </c>
      <c r="D31" s="265" t="s">
        <v>424</v>
      </c>
      <c r="E31" s="264">
        <f t="shared" si="9"/>
        <v>1.8349278606541435</v>
      </c>
      <c r="F31" s="264">
        <f t="shared" si="8"/>
        <v>0</v>
      </c>
      <c r="G31" s="254" t="s">
        <v>424</v>
      </c>
      <c r="H31" s="254">
        <v>0</v>
      </c>
      <c r="I31" s="255">
        <v>0</v>
      </c>
      <c r="J31" s="263">
        <v>1.8349278606541435</v>
      </c>
      <c r="K31" s="265" t="s">
        <v>559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1.8349278606541435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2.1532990437133521</v>
      </c>
      <c r="D33" s="263">
        <v>7.4052958460089835</v>
      </c>
      <c r="E33" s="264">
        <f t="shared" si="9"/>
        <v>2.1954589094283112</v>
      </c>
      <c r="F33" s="264">
        <f t="shared" si="8"/>
        <v>0</v>
      </c>
      <c r="G33" s="254">
        <v>0</v>
      </c>
      <c r="H33" s="254">
        <v>1.3104050312013051</v>
      </c>
      <c r="I33" s="254">
        <f>I31</f>
        <v>0</v>
      </c>
      <c r="J33" s="263">
        <v>2.1954589094283112</v>
      </c>
      <c r="K33" s="263" t="str">
        <f>K31</f>
        <v>1;4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1.3104050312013051</v>
      </c>
      <c r="AC33" s="264">
        <f t="shared" si="7"/>
        <v>2.1954589094283112</v>
      </c>
      <c r="AE33" s="274">
        <v>0</v>
      </c>
      <c r="AF33" s="274">
        <f>AF31</f>
        <v>0</v>
      </c>
      <c r="AG33" s="278">
        <v>0</v>
      </c>
      <c r="AH33" s="278">
        <v>0</v>
      </c>
    </row>
    <row r="34" spans="1:34" ht="47.25" x14ac:dyDescent="0.25">
      <c r="A34" s="60" t="s">
        <v>61</v>
      </c>
      <c r="B34" s="59" t="s">
        <v>170</v>
      </c>
      <c r="C34" s="253">
        <f>SUM(C35:C38)</f>
        <v>15.386425155052761</v>
      </c>
      <c r="D34" s="261">
        <f t="shared" ref="D34:G34" si="10">SUM(D35:D38)</f>
        <v>16.151218395052759</v>
      </c>
      <c r="E34" s="262">
        <f t="shared" si="9"/>
        <v>11.158339795052761</v>
      </c>
      <c r="F34" s="262">
        <f t="shared" si="8"/>
        <v>0</v>
      </c>
      <c r="G34" s="253">
        <f t="shared" si="10"/>
        <v>0.76479324000000004</v>
      </c>
      <c r="H34" s="253">
        <f>SUM(H35:H38)</f>
        <v>0</v>
      </c>
      <c r="I34" s="253" t="s">
        <v>424</v>
      </c>
      <c r="J34" s="261">
        <f>SUM(J35:J38)</f>
        <v>11.158339795052761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11.158339795052761</v>
      </c>
      <c r="AD34" s="204"/>
      <c r="AE34" s="273">
        <f>SUM(AE35:AE38)</f>
        <v>0</v>
      </c>
      <c r="AF34" s="273" t="s">
        <v>424</v>
      </c>
      <c r="AG34" s="278">
        <v>0</v>
      </c>
      <c r="AH34" s="278">
        <v>0</v>
      </c>
    </row>
    <row r="35" spans="1:34" x14ac:dyDescent="0.25">
      <c r="A35" s="60" t="s">
        <v>169</v>
      </c>
      <c r="B35" s="42" t="s">
        <v>168</v>
      </c>
      <c r="C35" s="254">
        <v>1.2198414570327614</v>
      </c>
      <c r="D35" s="263">
        <v>1.9824999970327613</v>
      </c>
      <c r="E35" s="264">
        <f t="shared" si="9"/>
        <v>0.83734145703276119</v>
      </c>
      <c r="F35" s="264">
        <f t="shared" si="8"/>
        <v>0</v>
      </c>
      <c r="G35" s="254">
        <v>0.76265854</v>
      </c>
      <c r="H35" s="254">
        <v>0</v>
      </c>
      <c r="I35" s="255">
        <v>0</v>
      </c>
      <c r="J35" s="263">
        <v>0.83734145703276119</v>
      </c>
      <c r="K35" s="265" t="s">
        <v>61</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0.83734145703276119</v>
      </c>
      <c r="AD35" s="203"/>
      <c r="AE35" s="274">
        <v>0</v>
      </c>
      <c r="AF35" s="275">
        <v>0</v>
      </c>
      <c r="AG35" s="278">
        <v>0</v>
      </c>
      <c r="AH35" s="278">
        <v>0</v>
      </c>
    </row>
    <row r="36" spans="1:34" ht="31.5" x14ac:dyDescent="0.25">
      <c r="A36" s="60" t="s">
        <v>167</v>
      </c>
      <c r="B36" s="42" t="s">
        <v>166</v>
      </c>
      <c r="C36" s="254">
        <v>3.6979509436754121</v>
      </c>
      <c r="D36" s="263">
        <v>3.6979509436754121</v>
      </c>
      <c r="E36" s="264">
        <f t="shared" si="9"/>
        <v>2.2980524536754121</v>
      </c>
      <c r="F36" s="264">
        <f t="shared" si="8"/>
        <v>0</v>
      </c>
      <c r="G36" s="254">
        <v>0</v>
      </c>
      <c r="H36" s="254">
        <v>0</v>
      </c>
      <c r="I36" s="254">
        <v>0</v>
      </c>
      <c r="J36" s="263">
        <v>2.2980524536754121</v>
      </c>
      <c r="K36" s="265" t="s">
        <v>59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2.2980524536754121</v>
      </c>
      <c r="AE36" s="274">
        <v>0</v>
      </c>
      <c r="AF36" s="275">
        <v>0</v>
      </c>
      <c r="AG36" s="278">
        <v>0</v>
      </c>
      <c r="AH36" s="278">
        <v>0</v>
      </c>
    </row>
    <row r="37" spans="1:34" x14ac:dyDescent="0.25">
      <c r="A37" s="60" t="s">
        <v>165</v>
      </c>
      <c r="B37" s="42" t="s">
        <v>164</v>
      </c>
      <c r="C37" s="254">
        <v>7.8109847475112817</v>
      </c>
      <c r="D37" s="263">
        <v>7.8109847475112817</v>
      </c>
      <c r="E37" s="264">
        <f t="shared" si="9"/>
        <v>6.1436718075112822</v>
      </c>
      <c r="F37" s="264">
        <f t="shared" si="8"/>
        <v>0</v>
      </c>
      <c r="G37" s="254">
        <v>0</v>
      </c>
      <c r="H37" s="254">
        <v>0</v>
      </c>
      <c r="I37" s="254">
        <v>0</v>
      </c>
      <c r="J37" s="263">
        <v>6.1436718075112822</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6.1436718075112822</v>
      </c>
      <c r="AE37" s="274">
        <v>0</v>
      </c>
      <c r="AF37" s="275">
        <v>0</v>
      </c>
      <c r="AG37" s="278">
        <v>0</v>
      </c>
      <c r="AH37" s="278">
        <v>0</v>
      </c>
    </row>
    <row r="38" spans="1:34" x14ac:dyDescent="0.25">
      <c r="A38" s="60" t="s">
        <v>163</v>
      </c>
      <c r="B38" s="42" t="s">
        <v>162</v>
      </c>
      <c r="C38" s="254">
        <v>2.6576480068333059</v>
      </c>
      <c r="D38" s="263">
        <v>2.659782706833306</v>
      </c>
      <c r="E38" s="264">
        <f t="shared" si="9"/>
        <v>1.8792740768333056</v>
      </c>
      <c r="F38" s="264">
        <f t="shared" si="8"/>
        <v>0</v>
      </c>
      <c r="G38" s="254">
        <v>2.1347000000000002E-3</v>
      </c>
      <c r="H38" s="254">
        <v>0</v>
      </c>
      <c r="I38" s="254">
        <v>0</v>
      </c>
      <c r="J38" s="263">
        <v>1.8792740768333056</v>
      </c>
      <c r="K38" s="265" t="s">
        <v>559</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1.8792740768333056</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3</v>
      </c>
      <c r="E46" s="264">
        <f t="shared" si="9"/>
        <v>2</v>
      </c>
      <c r="F46" s="264">
        <f t="shared" si="8"/>
        <v>0</v>
      </c>
      <c r="G46" s="254">
        <v>1</v>
      </c>
      <c r="H46" s="254">
        <v>1</v>
      </c>
      <c r="I46" s="255" t="s">
        <v>59</v>
      </c>
      <c r="J46" s="263">
        <v>2</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3</v>
      </c>
      <c r="E54" s="264">
        <f t="shared" si="9"/>
        <v>2</v>
      </c>
      <c r="F54" s="264">
        <f t="shared" si="8"/>
        <v>0</v>
      </c>
      <c r="G54" s="254">
        <v>1</v>
      </c>
      <c r="H54" s="254">
        <v>1</v>
      </c>
      <c r="I54" s="255" t="s">
        <v>59</v>
      </c>
      <c r="J54" s="263">
        <v>2</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10.857623778540949</v>
      </c>
      <c r="D56" s="263">
        <v>16.151218396353578</v>
      </c>
      <c r="E56" s="264">
        <f t="shared" si="9"/>
        <v>11.920998336353579</v>
      </c>
      <c r="F56" s="264">
        <f t="shared" si="8"/>
        <v>0</v>
      </c>
      <c r="G56" s="254">
        <v>4.2302200600000006</v>
      </c>
      <c r="H56" s="254">
        <v>6.6295384185409487</v>
      </c>
      <c r="I56" s="255" t="s">
        <v>59</v>
      </c>
      <c r="J56" s="263">
        <v>11.920998336353579</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6.6295384185409487</v>
      </c>
      <c r="AC56" s="264">
        <f t="shared" si="7"/>
        <v>11.920998336353579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3</v>
      </c>
      <c r="E61" s="264">
        <f t="shared" si="9"/>
        <v>2</v>
      </c>
      <c r="F61" s="264">
        <f t="shared" si="8"/>
        <v>0</v>
      </c>
      <c r="G61" s="254">
        <v>1</v>
      </c>
      <c r="H61" s="254">
        <v>1</v>
      </c>
      <c r="I61" s="255" t="s">
        <v>59</v>
      </c>
      <c r="J61" s="263">
        <v>2</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J28" zoomScale="70" zoomScaleSheetLayoutView="70" workbookViewId="0">
      <selection activeCell="BD31" sqref="BD31"/>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customWidth="1"/>
    <col min="52" max="55" width="11.28515625" style="17" customWidth="1"/>
    <col min="56" max="56" width="42.42578125" style="17"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устройств РЗА присоединений ОВ-110-220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507</v>
      </c>
      <c r="AY22" s="481" t="s">
        <v>508</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20541.84203</v>
      </c>
      <c r="Q26" s="173" t="s">
        <v>424</v>
      </c>
      <c r="R26" s="175">
        <f>SUM(R27:R86)</f>
        <v>20212.516299999999</v>
      </c>
      <c r="S26" s="173" t="s">
        <v>424</v>
      </c>
      <c r="T26" s="173" t="s">
        <v>424</v>
      </c>
      <c r="U26" s="173" t="s">
        <v>424</v>
      </c>
      <c r="V26" s="173" t="s">
        <v>424</v>
      </c>
      <c r="W26" s="173" t="s">
        <v>424</v>
      </c>
      <c r="X26" s="173" t="s">
        <v>424</v>
      </c>
      <c r="Y26" s="173" t="s">
        <v>424</v>
      </c>
      <c r="Z26" s="173" t="s">
        <v>424</v>
      </c>
      <c r="AA26" s="173" t="s">
        <v>424</v>
      </c>
      <c r="AB26" s="175">
        <f>SUM(AB27:AB86)</f>
        <v>15771.08755</v>
      </c>
      <c r="AC26" s="173" t="s">
        <v>424</v>
      </c>
      <c r="AD26" s="175">
        <f>SUM(AD27:AD86)</f>
        <v>18925.305059999999</v>
      </c>
      <c r="AE26" s="175">
        <f>SUM(AE27:AE86)</f>
        <v>12952.809799999999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5814.4208400000007</v>
      </c>
      <c r="AY26" s="175">
        <f t="shared" si="46"/>
        <v>5972.4952599999997</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3929.6313</v>
      </c>
      <c r="Q27" s="205" t="s">
        <v>515</v>
      </c>
      <c r="R27" s="206">
        <v>3929.6313</v>
      </c>
      <c r="S27" s="205" t="s">
        <v>516</v>
      </c>
      <c r="T27" s="205" t="s">
        <v>516</v>
      </c>
      <c r="U27" s="205">
        <v>4</v>
      </c>
      <c r="V27" s="205">
        <v>1</v>
      </c>
      <c r="W27" s="205" t="s">
        <v>517</v>
      </c>
      <c r="X27" s="205">
        <v>3929.6313</v>
      </c>
      <c r="Y27" s="205" t="s">
        <v>518</v>
      </c>
      <c r="Z27" s="205">
        <v>1</v>
      </c>
      <c r="AA27" s="205">
        <v>3929.6313</v>
      </c>
      <c r="AB27" s="206">
        <v>3929.6313</v>
      </c>
      <c r="AC27" s="205" t="s">
        <v>517</v>
      </c>
      <c r="AD27" s="206">
        <v>4715.5575600000002</v>
      </c>
      <c r="AE27" s="247">
        <f>IF(IFERROR(AD27-AY27,"нд")&lt;0,0,IFERROR(AD27-AY27,"нд"))</f>
        <v>117.25255000000016</v>
      </c>
      <c r="AF27" s="205" t="s">
        <v>519</v>
      </c>
      <c r="AG27" s="205" t="s">
        <v>520</v>
      </c>
      <c r="AH27" s="205" t="s">
        <v>521</v>
      </c>
      <c r="AI27" s="207">
        <v>45107</v>
      </c>
      <c r="AJ27" s="207">
        <v>45092</v>
      </c>
      <c r="AK27" s="207">
        <v>45104</v>
      </c>
      <c r="AL27" s="207">
        <v>45119</v>
      </c>
      <c r="AM27" s="205" t="s">
        <v>424</v>
      </c>
      <c r="AN27" s="205" t="s">
        <v>424</v>
      </c>
      <c r="AO27" s="205" t="s">
        <v>424</v>
      </c>
      <c r="AP27" s="205" t="s">
        <v>424</v>
      </c>
      <c r="AQ27" s="207">
        <v>45139</v>
      </c>
      <c r="AR27" s="207">
        <v>45139</v>
      </c>
      <c r="AS27" s="207">
        <v>45139</v>
      </c>
      <c r="AT27" s="207">
        <v>45139</v>
      </c>
      <c r="AU27" s="207">
        <v>45286</v>
      </c>
      <c r="AV27" s="205" t="s">
        <v>424</v>
      </c>
      <c r="AW27" s="205" t="s">
        <v>424</v>
      </c>
      <c r="AX27" s="208">
        <v>3831.9208400000002</v>
      </c>
      <c r="AY27" s="208">
        <v>4598.30501</v>
      </c>
      <c r="AZ27" s="206" t="s">
        <v>522</v>
      </c>
      <c r="BA27" s="206" t="s">
        <v>512</v>
      </c>
      <c r="BB27" s="206" t="s">
        <v>523</v>
      </c>
      <c r="BC27" s="206" t="s">
        <v>524</v>
      </c>
      <c r="BD27" s="206" t="str">
        <f>CONCATENATE(BB27,", ",BA27,", ",N27,", ","договор № ",BC27)</f>
        <v>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525</v>
      </c>
      <c r="N28" s="205" t="s">
        <v>526</v>
      </c>
      <c r="O28" s="205" t="s">
        <v>514</v>
      </c>
      <c r="P28" s="206">
        <v>4531</v>
      </c>
      <c r="Q28" s="205" t="s">
        <v>515</v>
      </c>
      <c r="R28" s="206">
        <v>4201.6697999999997</v>
      </c>
      <c r="S28" s="205" t="s">
        <v>516</v>
      </c>
      <c r="T28" s="205" t="s">
        <v>516</v>
      </c>
      <c r="U28" s="205">
        <v>3</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v>32413495190</v>
      </c>
      <c r="AG28" s="205" t="s">
        <v>520</v>
      </c>
      <c r="AH28" s="205" t="s">
        <v>521</v>
      </c>
      <c r="AI28" s="207">
        <v>45412</v>
      </c>
      <c r="AJ28" s="207">
        <v>45393</v>
      </c>
      <c r="AK28" s="207">
        <v>45415</v>
      </c>
      <c r="AL28" s="207">
        <v>45428</v>
      </c>
      <c r="AM28" s="205" t="s">
        <v>424</v>
      </c>
      <c r="AN28" s="205" t="s">
        <v>424</v>
      </c>
      <c r="AO28" s="205" t="s">
        <v>424</v>
      </c>
      <c r="AP28" s="205" t="s">
        <v>424</v>
      </c>
      <c r="AQ28" s="207">
        <v>45473</v>
      </c>
      <c r="AR28" s="207" t="s">
        <v>424</v>
      </c>
      <c r="AS28" s="207">
        <v>45473</v>
      </c>
      <c r="AT28" s="207" t="s">
        <v>424</v>
      </c>
      <c r="AU28" s="207">
        <v>45688</v>
      </c>
      <c r="AV28" s="205" t="s">
        <v>424</v>
      </c>
      <c r="AW28" s="205" t="s">
        <v>527</v>
      </c>
      <c r="AX28" s="206">
        <v>0</v>
      </c>
      <c r="AY28" s="206">
        <v>0</v>
      </c>
      <c r="AZ28" s="206" t="s">
        <v>522</v>
      </c>
      <c r="BA28" s="206" t="s">
        <v>525</v>
      </c>
      <c r="BB28" s="206" t="s">
        <v>518</v>
      </c>
      <c r="BC28" s="206" t="s">
        <v>528</v>
      </c>
      <c r="BD28" s="206" t="str">
        <f t="shared" ref="BD28:BD86" si="50">CONCATENATE(BB28,", ",BA28,", ",N28,", ","договор № ",BC28)</f>
        <v>-,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признана несостоявшейся</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526</v>
      </c>
      <c r="O29" s="205" t="s">
        <v>514</v>
      </c>
      <c r="P29" s="206">
        <v>6948.7669999999998</v>
      </c>
      <c r="Q29" s="205" t="s">
        <v>515</v>
      </c>
      <c r="R29" s="206">
        <v>6948.7673699999996</v>
      </c>
      <c r="S29" s="205" t="s">
        <v>516</v>
      </c>
      <c r="T29" s="205" t="s">
        <v>516</v>
      </c>
      <c r="U29" s="205">
        <v>2</v>
      </c>
      <c r="V29" s="205">
        <v>1</v>
      </c>
      <c r="W29" s="205" t="s">
        <v>517</v>
      </c>
      <c r="X29" s="205" t="s">
        <v>530</v>
      </c>
      <c r="Y29" s="205" t="s">
        <v>518</v>
      </c>
      <c r="Z29" s="205">
        <v>1</v>
      </c>
      <c r="AA29" s="205">
        <v>6948.7669999999998</v>
      </c>
      <c r="AB29" s="206">
        <v>6948.7669999999998</v>
      </c>
      <c r="AC29" s="205" t="s">
        <v>517</v>
      </c>
      <c r="AD29" s="206">
        <v>8338.5203999999994</v>
      </c>
      <c r="AE29" s="247">
        <f t="shared" si="49"/>
        <v>7423.3301499999998</v>
      </c>
      <c r="AF29" s="205" t="s">
        <v>531</v>
      </c>
      <c r="AG29" s="205" t="s">
        <v>520</v>
      </c>
      <c r="AH29" s="205" t="s">
        <v>521</v>
      </c>
      <c r="AI29" s="207">
        <v>45535</v>
      </c>
      <c r="AJ29" s="207">
        <v>45533</v>
      </c>
      <c r="AK29" s="207">
        <v>45545</v>
      </c>
      <c r="AL29" s="207">
        <v>45560</v>
      </c>
      <c r="AM29" s="205" t="s">
        <v>424</v>
      </c>
      <c r="AN29" s="205" t="s">
        <v>424</v>
      </c>
      <c r="AO29" s="205" t="s">
        <v>424</v>
      </c>
      <c r="AP29" s="205" t="s">
        <v>424</v>
      </c>
      <c r="AQ29" s="207">
        <v>45580</v>
      </c>
      <c r="AR29" s="207">
        <v>45580</v>
      </c>
      <c r="AS29" s="207">
        <v>45580</v>
      </c>
      <c r="AT29" s="207">
        <v>45580</v>
      </c>
      <c r="AU29" s="207">
        <v>45991</v>
      </c>
      <c r="AV29" s="205" t="s">
        <v>424</v>
      </c>
      <c r="AW29" s="205" t="s">
        <v>424</v>
      </c>
      <c r="AX29" s="206">
        <v>1600</v>
      </c>
      <c r="AY29" s="206">
        <v>915.19024999999999</v>
      </c>
      <c r="AZ29" s="206" t="s">
        <v>522</v>
      </c>
      <c r="BA29" s="206" t="s">
        <v>532</v>
      </c>
      <c r="BB29" s="206" t="s">
        <v>517</v>
      </c>
      <c r="BC29" s="206" t="s">
        <v>533</v>
      </c>
      <c r="BD29" s="206" t="str">
        <f t="shared" si="50"/>
        <v>ОБЩЕСТВО С ОГРАНИЧЕННОЙ ОТВЕТСТВЕННОСТЬЮ "ЭКРА-СИБИРЬ", ПИР,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v>
      </c>
    </row>
    <row r="30" spans="1:56" s="209" customFormat="1" ht="123.7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525</v>
      </c>
      <c r="N30" s="205" t="s">
        <v>534</v>
      </c>
      <c r="O30" s="205" t="s">
        <v>514</v>
      </c>
      <c r="P30" s="206">
        <v>595.03</v>
      </c>
      <c r="Q30" s="205" t="s">
        <v>515</v>
      </c>
      <c r="R30" s="206">
        <v>595.03409999999997</v>
      </c>
      <c r="S30" s="205" t="s">
        <v>516</v>
      </c>
      <c r="T30" s="205" t="s">
        <v>516</v>
      </c>
      <c r="U30" s="205">
        <v>4</v>
      </c>
      <c r="V30" s="205">
        <v>5</v>
      </c>
      <c r="W30" s="205" t="s">
        <v>535</v>
      </c>
      <c r="X30" s="205" t="s">
        <v>536</v>
      </c>
      <c r="Y30" s="205" t="s">
        <v>518</v>
      </c>
      <c r="Z30" s="205">
        <v>1</v>
      </c>
      <c r="AA30" s="205" t="s">
        <v>537</v>
      </c>
      <c r="AB30" s="206">
        <v>382.5</v>
      </c>
      <c r="AC30" s="205" t="s">
        <v>538</v>
      </c>
      <c r="AD30" s="206">
        <v>459</v>
      </c>
      <c r="AE30" s="247">
        <f t="shared" si="49"/>
        <v>0</v>
      </c>
      <c r="AF30" s="205">
        <v>32211174626</v>
      </c>
      <c r="AG30" s="205" t="s">
        <v>520</v>
      </c>
      <c r="AH30" s="205" t="s">
        <v>521</v>
      </c>
      <c r="AI30" s="207">
        <v>44620</v>
      </c>
      <c r="AJ30" s="207">
        <v>44620</v>
      </c>
      <c r="AK30" s="207">
        <v>44638</v>
      </c>
      <c r="AL30" s="207">
        <v>44650</v>
      </c>
      <c r="AM30" s="205" t="s">
        <v>424</v>
      </c>
      <c r="AN30" s="205" t="s">
        <v>424</v>
      </c>
      <c r="AO30" s="205" t="s">
        <v>424</v>
      </c>
      <c r="AP30" s="205" t="s">
        <v>424</v>
      </c>
      <c r="AQ30" s="207">
        <v>44670</v>
      </c>
      <c r="AR30" s="207">
        <v>44663</v>
      </c>
      <c r="AS30" s="207">
        <v>44670</v>
      </c>
      <c r="AT30" s="207">
        <v>44663</v>
      </c>
      <c r="AU30" s="207">
        <v>45290</v>
      </c>
      <c r="AV30" s="205" t="s">
        <v>424</v>
      </c>
      <c r="AW30" s="205" t="s">
        <v>424</v>
      </c>
      <c r="AX30" s="206">
        <v>382.5</v>
      </c>
      <c r="AY30" s="206">
        <v>459</v>
      </c>
      <c r="AZ30" s="206" t="s">
        <v>522</v>
      </c>
      <c r="BA30" s="206" t="s">
        <v>525</v>
      </c>
      <c r="BB30" s="206" t="s">
        <v>538</v>
      </c>
      <c r="BC30" s="206" t="s">
        <v>539</v>
      </c>
      <c r="BD30" s="206" t="str">
        <f t="shared" si="50"/>
        <v>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560</v>
      </c>
      <c r="N31" s="205" t="s">
        <v>561</v>
      </c>
      <c r="O31" s="205" t="s">
        <v>514</v>
      </c>
      <c r="P31" s="206">
        <v>4537.4137300000002</v>
      </c>
      <c r="Q31" s="205" t="s">
        <v>515</v>
      </c>
      <c r="R31" s="206">
        <v>4537.4137300000002</v>
      </c>
      <c r="S31" s="205" t="s">
        <v>516</v>
      </c>
      <c r="T31" s="205" t="s">
        <v>516</v>
      </c>
      <c r="U31" s="205">
        <v>3</v>
      </c>
      <c r="V31" s="205">
        <v>2</v>
      </c>
      <c r="W31" s="205" t="s">
        <v>562</v>
      </c>
      <c r="X31" s="205" t="s">
        <v>563</v>
      </c>
      <c r="Y31" s="205" t="s">
        <v>518</v>
      </c>
      <c r="Z31" s="205">
        <v>1</v>
      </c>
      <c r="AA31" s="205" t="s">
        <v>564</v>
      </c>
      <c r="AB31" s="206">
        <v>4510.1892500000004</v>
      </c>
      <c r="AC31" s="205" t="s">
        <v>517</v>
      </c>
      <c r="AD31" s="206">
        <v>5412.2271000000001</v>
      </c>
      <c r="AE31" s="247">
        <f t="shared" si="49"/>
        <v>5412.2271000000001</v>
      </c>
      <c r="AF31" s="205">
        <v>32515097334</v>
      </c>
      <c r="AG31" s="205" t="s">
        <v>520</v>
      </c>
      <c r="AH31" s="205" t="s">
        <v>565</v>
      </c>
      <c r="AI31" s="207">
        <v>45900</v>
      </c>
      <c r="AJ31" s="207">
        <v>45873</v>
      </c>
      <c r="AK31" s="207">
        <v>45883</v>
      </c>
      <c r="AL31" s="207">
        <v>45891</v>
      </c>
      <c r="AM31" s="205" t="s">
        <v>424</v>
      </c>
      <c r="AN31" s="205" t="s">
        <v>424</v>
      </c>
      <c r="AO31" s="205" t="s">
        <v>424</v>
      </c>
      <c r="AP31" s="205" t="s">
        <v>424</v>
      </c>
      <c r="AQ31" s="207">
        <v>45915</v>
      </c>
      <c r="AR31" s="207">
        <v>45915</v>
      </c>
      <c r="AS31" s="207">
        <v>45915</v>
      </c>
      <c r="AT31" s="207">
        <v>45915</v>
      </c>
      <c r="AU31" s="207"/>
      <c r="AV31" s="205" t="s">
        <v>424</v>
      </c>
      <c r="AW31" s="205" t="s">
        <v>424</v>
      </c>
      <c r="AX31" s="206">
        <v>0</v>
      </c>
      <c r="AY31" s="206">
        <v>0</v>
      </c>
      <c r="AZ31" s="206" t="s">
        <v>522</v>
      </c>
      <c r="BA31" s="206" t="s">
        <v>560</v>
      </c>
      <c r="BB31" s="206" t="s">
        <v>517</v>
      </c>
      <c r="BC31" s="206" t="s">
        <v>566</v>
      </c>
      <c r="BD31" s="206" t="str">
        <f t="shared" si="50"/>
        <v>ОБЩЕСТВО С ОГРАНИЧЕННОЙ ОТВЕТСТВЕННОСТЬЮ "ЭКРА-СИБИРЬ", ПИР, СМР, ПНР,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в части приобретения и монтажа шкафа телекоммуникационного ШНЭ 2082.00Х, договор № ИП-25-00296 от 15.09.2025</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82"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M_00.0021.000021</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устройств РЗА присоединений ОВ-110-220</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553</v>
      </c>
    </row>
    <row r="22" spans="1:2" x14ac:dyDescent="0.25">
      <c r="A22" s="153" t="s">
        <v>305</v>
      </c>
      <c r="B22" s="153" t="s">
        <v>558</v>
      </c>
    </row>
    <row r="23" spans="1:2" x14ac:dyDescent="0.25">
      <c r="A23" s="153" t="s">
        <v>287</v>
      </c>
      <c r="B23" s="153" t="s">
        <v>542</v>
      </c>
    </row>
    <row r="24" spans="1:2" x14ac:dyDescent="0.25">
      <c r="A24" s="153" t="s">
        <v>306</v>
      </c>
      <c r="B24" s="153" t="s">
        <v>424</v>
      </c>
    </row>
    <row r="25" spans="1:2" x14ac:dyDescent="0.25">
      <c r="A25" s="154" t="s">
        <v>307</v>
      </c>
      <c r="B25" s="171">
        <v>46021</v>
      </c>
    </row>
    <row r="26" spans="1:2" x14ac:dyDescent="0.25">
      <c r="A26" s="154" t="s">
        <v>308</v>
      </c>
      <c r="B26" s="156" t="s">
        <v>557</v>
      </c>
    </row>
    <row r="27" spans="1:2" x14ac:dyDescent="0.25">
      <c r="A27" s="156" t="str">
        <f>CONCATENATE("Стоимость проекта в прогнозных ценах, млн. руб. с НДС")</f>
        <v>Стоимость проекта в прогнозных ценах, млн. руб. с НДС</v>
      </c>
      <c r="B27" s="167">
        <v>19.305786265276051</v>
      </c>
    </row>
    <row r="28" spans="1:2" ht="93.75" customHeight="1" x14ac:dyDescent="0.25">
      <c r="A28" s="155" t="s">
        <v>309</v>
      </c>
      <c r="B28" s="158" t="s">
        <v>543</v>
      </c>
    </row>
    <row r="29" spans="1:2" ht="28.5" x14ac:dyDescent="0.25">
      <c r="A29" s="156" t="s">
        <v>310</v>
      </c>
      <c r="B29" s="167">
        <f>'7. Паспорт отчет о закупке'!$AB$26*1.2/1000</f>
        <v>18.925305059999999</v>
      </c>
    </row>
    <row r="30" spans="1:2" ht="28.5" x14ac:dyDescent="0.25">
      <c r="A30" s="156" t="s">
        <v>311</v>
      </c>
      <c r="B30" s="167">
        <f>'7. Паспорт отчет о закупке'!$AD$26/1000</f>
        <v>18.925305059999999</v>
      </c>
    </row>
    <row r="31" spans="1:2" x14ac:dyDescent="0.25">
      <c r="A31" s="155" t="s">
        <v>312</v>
      </c>
      <c r="B31" s="157"/>
    </row>
    <row r="32" spans="1:2" ht="28.5" x14ac:dyDescent="0.25">
      <c r="A32" s="156" t="s">
        <v>313</v>
      </c>
      <c r="B32" s="167">
        <f>SUM(SUMIF(B33,"&gt;0",B33),SUMIF(B37,"&gt;0",B37),SUMIF(B41,"&gt;0",B41),SUMIF(B45,"&gt;0",B45),SUMIF(B49,"&gt;0",B49),SUMIF(B53,"&gt;0",B53))</f>
        <v>18.925305059999999</v>
      </c>
    </row>
    <row r="33" spans="1:2" ht="30" x14ac:dyDescent="0.25">
      <c r="A33" s="164" t="s">
        <v>432</v>
      </c>
      <c r="B33" s="157">
        <f>IFERROR(IF(VLOOKUP(1,'7. Паспорт отчет о закупке'!$A$27:$CD$86,52,0)="ИП",VLOOKUP(1,'7. Паспорт отчет о закупке'!$A$27:$CD$86,30,0)/1000,"нд"),"нд")</f>
        <v>4.7155575600000006</v>
      </c>
    </row>
    <row r="34" spans="1:2" x14ac:dyDescent="0.25">
      <c r="A34" s="164" t="s">
        <v>314</v>
      </c>
      <c r="B34" s="157">
        <f>IF(B33="нд","нд",$B33/$B$27*100)</f>
        <v>24.425617766635796</v>
      </c>
    </row>
    <row r="35" spans="1:2" x14ac:dyDescent="0.25">
      <c r="A35" s="164" t="s">
        <v>315</v>
      </c>
      <c r="B35" s="157">
        <f>IF(VLOOKUP(1,'7. Паспорт отчет о закупке'!$A$27:$CD$86,52,0)="ИП",VLOOKUP(1,'7. Паспорт отчет о закупке'!$A$27:$CD$86,51,0)/1000,"нд")</f>
        <v>4.5983050099999998</v>
      </c>
    </row>
    <row r="36" spans="1:2" x14ac:dyDescent="0.25">
      <c r="A36" s="164" t="s">
        <v>436</v>
      </c>
      <c r="B36" s="157">
        <f>IF(VLOOKUP(1,'7. Паспорт отчет о закупке'!$A$27:$CD$86,52,0)="ИП",VLOOKUP(1,'7. Паспорт отчет о закупке'!$A$27:$CD$86,50,0)/1000,"нд")</f>
        <v>3.8319208400000004</v>
      </c>
    </row>
    <row r="37" spans="1:2" ht="30" x14ac:dyDescent="0.25">
      <c r="A37" s="164" t="s">
        <v>432</v>
      </c>
      <c r="B37" s="157" t="e">
        <f>IF(VLOOKUP(2,'7. Паспорт отчет о закупке'!$A$27:$CD$86,52,0)="ИП",VLOOKUP(2,'7. Паспорт отчет о закупке'!$A$27:$CD$86,30,0)/1000,"нд")</f>
        <v>#VALUE!</v>
      </c>
    </row>
    <row r="38" spans="1:2" x14ac:dyDescent="0.25">
      <c r="A38" s="164" t="s">
        <v>314</v>
      </c>
      <c r="B38" s="157" t="e">
        <f>IF(B37="нд","нд",$B37/$B$27*100)</f>
        <v>#VALUE!</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8.3385204000000002</v>
      </c>
    </row>
    <row r="42" spans="1:2" x14ac:dyDescent="0.25">
      <c r="A42" s="164" t="s">
        <v>314</v>
      </c>
      <c r="B42" s="157">
        <f>IF(B41="нд","нд",$B41/$B$27*100)</f>
        <v>43.191819724006294</v>
      </c>
    </row>
    <row r="43" spans="1:2" x14ac:dyDescent="0.25">
      <c r="A43" s="164" t="s">
        <v>315</v>
      </c>
      <c r="B43" s="157">
        <f>IF(VLOOKUP(3,'7. Паспорт отчет о закупке'!$A$27:$CD$86,52,0)="ИП",VLOOKUP(3,'7. Паспорт отчет о закупке'!$A$27:$CD$86,51,0)/1000,"нд")</f>
        <v>0.91519024999999998</v>
      </c>
    </row>
    <row r="44" spans="1:2" x14ac:dyDescent="0.25">
      <c r="A44" s="164" t="s">
        <v>436</v>
      </c>
      <c r="B44" s="157">
        <f>IF(VLOOKUP(3,'7. Паспорт отчет о закупке'!$A$27:$CD$86,52,0)="ИП",VLOOKUP(3,'7. Паспорт отчет о закупке'!$A$27:$CD$86,50,0)/1000,"нд")</f>
        <v>1.6</v>
      </c>
    </row>
    <row r="45" spans="1:2" ht="30" x14ac:dyDescent="0.25">
      <c r="A45" s="164" t="s">
        <v>432</v>
      </c>
      <c r="B45" s="157">
        <f>IF(VLOOKUP(4,'7. Паспорт отчет о закупке'!$A$27:$CD$86,52,0)="ИП",VLOOKUP(4,'7. Паспорт отчет о закупке'!$A$27:$CD$86,30,0)/1000,"нд")</f>
        <v>0.45900000000000002</v>
      </c>
    </row>
    <row r="46" spans="1:2" x14ac:dyDescent="0.25">
      <c r="A46" s="164" t="s">
        <v>314</v>
      </c>
      <c r="B46" s="157">
        <f>IF(B45="нд","нд",$B45/$B$27*100)</f>
        <v>2.3775255443782197</v>
      </c>
    </row>
    <row r="47" spans="1:2" x14ac:dyDescent="0.25">
      <c r="A47" s="164" t="s">
        <v>315</v>
      </c>
      <c r="B47" s="157">
        <f>IF(VLOOKUP(4,'7. Паспорт отчет о закупке'!$A$27:$CD$86,52,0)="ИП",VLOOKUP(4,'7. Паспорт отчет о закупке'!$A$27:$CD$86,51,0)/1000,"нд")</f>
        <v>0.45900000000000002</v>
      </c>
    </row>
    <row r="48" spans="1:2" x14ac:dyDescent="0.25">
      <c r="A48" s="164" t="s">
        <v>436</v>
      </c>
      <c r="B48" s="157">
        <f>IF(VLOOKUP(4,'7. Паспорт отчет о закупке'!$A$27:$CD$86,52,0)="ИП",VLOOKUP(4,'7. Паспорт отчет о закупке'!$A$27:$CD$86,50,0)/1000,"нд")</f>
        <v>0.38250000000000001</v>
      </c>
    </row>
    <row r="49" spans="1:2" ht="30" x14ac:dyDescent="0.25">
      <c r="A49" s="164" t="s">
        <v>432</v>
      </c>
      <c r="B49" s="157">
        <f>IF(VLOOKUP(5,'7. Паспорт отчет о закупке'!$A$27:$CD$86,52,0)="ИП",VLOOKUP(5,'7. Паспорт отчет о закупке'!$A$27:$CD$86,30,0)/1000,"нд")</f>
        <v>5.4122271</v>
      </c>
    </row>
    <row r="50" spans="1:2" x14ac:dyDescent="0.25">
      <c r="A50" s="164" t="s">
        <v>314</v>
      </c>
      <c r="B50" s="157">
        <f>IF(B49="нд","нд",$B49/$B$27*100)</f>
        <v>28.034222619228871</v>
      </c>
    </row>
    <row r="51" spans="1:2" x14ac:dyDescent="0.25">
      <c r="A51" s="164" t="s">
        <v>315</v>
      </c>
      <c r="B51" s="157">
        <f>IF(VLOOKUP(5,'7. Паспорт отчет о закупке'!$A$27:$CD$86,52,0)="ИП",VLOOKUP(5,'7. Паспорт отчет о закупке'!$A$27:$CD$86,51,0)/1000,"нд")</f>
        <v>0</v>
      </c>
    </row>
    <row r="52" spans="1:2" x14ac:dyDescent="0.25">
      <c r="A52" s="164" t="s">
        <v>436</v>
      </c>
      <c r="B52" s="157">
        <f>IF(VLOOKUP(5,'7. Паспорт отчет о закупке'!$A$27:$CD$86,52,0)="ИП",VLOOKUP(5,'7. Паспорт отчет о закупке'!$A$27:$CD$86,50,0)/1000,"нд")</f>
        <v>0</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24.425617766635796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2.3775255443782197</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5.9742273392211427</v>
      </c>
    </row>
    <row r="90" spans="1:7" x14ac:dyDescent="0.25">
      <c r="A90" s="154" t="s">
        <v>435</v>
      </c>
      <c r="B90" s="167">
        <f>IFERROR(SUM(B91*1.2/$B$27*100),0)</f>
        <v>31.03450042216825</v>
      </c>
    </row>
    <row r="91" spans="1:7" x14ac:dyDescent="0.25">
      <c r="A91" s="154" t="s">
        <v>440</v>
      </c>
      <c r="B91" s="167">
        <f>'6.2. Паспорт фин осв ввод'!D34-'6.2. Паспорт фин осв ввод'!E34</f>
        <v>4.9928785999999974</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
-,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признана несостоявшейся
ОБЩЕСТВО С ОГРАНИЧЕННОЙ ОТВЕТСТВЕННОСТЬЮ "ЭКРА-СИБИРЬ", ПИР,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
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
ОБЩЕСТВО С ОГРАНИЧЕННОЙ ОТВЕТСТВЕННОСТЬЮ "ЭКРА-СИБИРЬ", ПИР, СМР, ПНР,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в части приобретения и монтажа шкафа телекоммуникационного ШНЭ 2082.00Х, договор № ИП-25-00296 от 15.09.2025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511</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M_00.0021.000021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устройств РЗА присоединений ОВ-110-220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M_00.0021.000021</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устройств РЗА присоединений ОВ-110-220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M_00.0021.000021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Восточная в части замены устройств РЗА присоединений ОВ-110-220</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44604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устройств РЗА присоединений ОВ-110-220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устройств РЗА присоединений ОВ-110-220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3"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M_00.0021.000021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устройств РЗА присоединений ОВ-110-220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449</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44604</v>
      </c>
      <c r="D25" s="285">
        <v>45899</v>
      </c>
      <c r="E25" s="285">
        <v>44604</v>
      </c>
      <c r="F25" s="285">
        <v>45827</v>
      </c>
      <c r="G25" s="286">
        <v>0.875</v>
      </c>
      <c r="H25" s="286">
        <v>0.25</v>
      </c>
      <c r="I25" s="280" t="s">
        <v>544</v>
      </c>
      <c r="J25" s="280" t="s">
        <v>424</v>
      </c>
      <c r="L25" s="246"/>
      <c r="N25" s="238" t="str">
        <f>CONCATENATE($A$12,A25)</f>
        <v>M_00.0021.0000211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M_00.0021.0000211.1.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M_00.0021.0000211.2.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M_00.0021.0000211.2.1.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M_00.0021.0000211.3.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M_00.0021.0000211.4.</v>
      </c>
    </row>
    <row r="31" spans="1:14" x14ac:dyDescent="0.25">
      <c r="A31" s="281" t="s">
        <v>461</v>
      </c>
      <c r="B31" s="281" t="s">
        <v>462</v>
      </c>
      <c r="C31" s="285">
        <v>44604</v>
      </c>
      <c r="D31" s="285">
        <v>45581</v>
      </c>
      <c r="E31" s="285">
        <v>44604</v>
      </c>
      <c r="F31" s="285">
        <v>45581</v>
      </c>
      <c r="G31" s="286">
        <v>1</v>
      </c>
      <c r="H31" s="286" t="s">
        <v>569</v>
      </c>
      <c r="I31" s="280" t="s">
        <v>518</v>
      </c>
      <c r="J31" s="281" t="s">
        <v>424</v>
      </c>
      <c r="N31" s="238" t="str">
        <f t="shared" si="0"/>
        <v>M_00.0021.0000211.5.</v>
      </c>
    </row>
    <row r="32" spans="1:14" x14ac:dyDescent="0.25">
      <c r="A32" s="281" t="s">
        <v>463</v>
      </c>
      <c r="B32" s="281" t="s">
        <v>464</v>
      </c>
      <c r="C32" s="285">
        <v>44694</v>
      </c>
      <c r="D32" s="285">
        <v>45651</v>
      </c>
      <c r="E32" s="285">
        <v>44694</v>
      </c>
      <c r="F32" s="285">
        <v>45651</v>
      </c>
      <c r="G32" s="286">
        <v>1</v>
      </c>
      <c r="H32" s="286" t="s">
        <v>569</v>
      </c>
      <c r="I32" s="280" t="s">
        <v>518</v>
      </c>
      <c r="J32" s="281" t="s">
        <v>424</v>
      </c>
      <c r="N32" s="238" t="str">
        <f t="shared" si="0"/>
        <v>M_00.0021.0000211.6.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M_00.0021.0000211.7.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M_00.0021.0000211.8.</v>
      </c>
    </row>
    <row r="35" spans="1:14" ht="63" x14ac:dyDescent="0.25">
      <c r="A35" s="281" t="s">
        <v>469</v>
      </c>
      <c r="B35" s="281" t="s">
        <v>470</v>
      </c>
      <c r="C35" s="285">
        <v>45046</v>
      </c>
      <c r="D35" s="285">
        <v>45899</v>
      </c>
      <c r="E35" s="285">
        <v>45046</v>
      </c>
      <c r="F35" s="285" t="s">
        <v>424</v>
      </c>
      <c r="G35" s="286" t="s">
        <v>567</v>
      </c>
      <c r="H35" s="286" t="s">
        <v>569</v>
      </c>
      <c r="I35" s="280" t="s">
        <v>545</v>
      </c>
      <c r="J35" s="281" t="s">
        <v>424</v>
      </c>
      <c r="N35" s="238" t="str">
        <f t="shared" si="0"/>
        <v>M_00.0021.0000211.9.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M_00.0021.0000211.10.</v>
      </c>
    </row>
    <row r="37" spans="1:14" ht="31.5" x14ac:dyDescent="0.25">
      <c r="A37" s="281" t="s">
        <v>473</v>
      </c>
      <c r="B37" s="281" t="s">
        <v>474</v>
      </c>
      <c r="C37" s="285">
        <v>44754</v>
      </c>
      <c r="D37" s="285">
        <v>45827</v>
      </c>
      <c r="E37" s="285">
        <v>44754</v>
      </c>
      <c r="F37" s="285">
        <v>45827</v>
      </c>
      <c r="G37" s="286">
        <v>1</v>
      </c>
      <c r="H37" s="286" t="s">
        <v>570</v>
      </c>
      <c r="I37" s="280" t="s">
        <v>546</v>
      </c>
      <c r="J37" s="281" t="s">
        <v>424</v>
      </c>
      <c r="N37" s="238" t="str">
        <f t="shared" si="0"/>
        <v>M_00.0021.0000211.11.</v>
      </c>
    </row>
    <row r="38" spans="1:14" x14ac:dyDescent="0.25">
      <c r="A38" s="280">
        <v>2</v>
      </c>
      <c r="B38" s="280" t="s">
        <v>510</v>
      </c>
      <c r="C38" s="285">
        <v>45078</v>
      </c>
      <c r="D38" s="285">
        <v>45930</v>
      </c>
      <c r="E38" s="285">
        <v>45078</v>
      </c>
      <c r="F38" s="285">
        <v>45581</v>
      </c>
      <c r="G38" s="286">
        <v>0.75</v>
      </c>
      <c r="H38" s="286">
        <v>0</v>
      </c>
      <c r="I38" s="280" t="s">
        <v>544</v>
      </c>
      <c r="J38" s="280" t="s">
        <v>424</v>
      </c>
      <c r="N38" s="238" t="str">
        <f t="shared" si="0"/>
        <v>M_00.0021.0000212</v>
      </c>
    </row>
    <row r="39" spans="1:14" ht="173.25" customHeight="1" x14ac:dyDescent="0.25">
      <c r="A39" s="282" t="s">
        <v>475</v>
      </c>
      <c r="B39" s="281" t="s">
        <v>476</v>
      </c>
      <c r="C39" s="285">
        <v>45078</v>
      </c>
      <c r="D39" s="285">
        <v>45581</v>
      </c>
      <c r="E39" s="285">
        <v>45078</v>
      </c>
      <c r="F39" s="285">
        <v>45581</v>
      </c>
      <c r="G39" s="286">
        <v>1</v>
      </c>
      <c r="H39" s="286" t="s">
        <v>569</v>
      </c>
      <c r="I39" s="280" t="s">
        <v>518</v>
      </c>
      <c r="J39" s="281" t="s">
        <v>424</v>
      </c>
      <c r="N39" s="238" t="str">
        <f t="shared" si="0"/>
        <v>M_00.0021.0000212.1.</v>
      </c>
    </row>
    <row r="40" spans="1:14" x14ac:dyDescent="0.25">
      <c r="A40" s="282" t="s">
        <v>477</v>
      </c>
      <c r="B40" s="281" t="s">
        <v>478</v>
      </c>
      <c r="C40" s="285">
        <v>45168</v>
      </c>
      <c r="D40" s="285">
        <v>45930</v>
      </c>
      <c r="E40" s="285">
        <v>45168</v>
      </c>
      <c r="F40" s="285" t="s">
        <v>424</v>
      </c>
      <c r="G40" s="286" t="s">
        <v>567</v>
      </c>
      <c r="H40" s="286" t="s">
        <v>569</v>
      </c>
      <c r="I40" s="280" t="s">
        <v>518</v>
      </c>
      <c r="J40" s="281" t="s">
        <v>424</v>
      </c>
      <c r="N40" s="238" t="str">
        <f t="shared" si="0"/>
        <v>M_00.0021.0000212.2.</v>
      </c>
    </row>
    <row r="41" spans="1:14" x14ac:dyDescent="0.25">
      <c r="A41" s="280">
        <v>3</v>
      </c>
      <c r="B41" s="280" t="s">
        <v>479</v>
      </c>
      <c r="C41" s="285">
        <v>45139</v>
      </c>
      <c r="D41" s="285">
        <v>46009</v>
      </c>
      <c r="E41" s="285">
        <v>45139</v>
      </c>
      <c r="F41" s="285" t="s">
        <v>424</v>
      </c>
      <c r="G41" s="286" t="s">
        <v>424</v>
      </c>
      <c r="H41" s="286">
        <v>0.26666666666666666</v>
      </c>
      <c r="I41" s="280" t="s">
        <v>544</v>
      </c>
      <c r="J41" s="280" t="s">
        <v>424</v>
      </c>
      <c r="N41" s="238" t="str">
        <f t="shared" si="0"/>
        <v>M_00.0021.0000213</v>
      </c>
    </row>
    <row r="42" spans="1:14" x14ac:dyDescent="0.25">
      <c r="A42" s="281" t="s">
        <v>480</v>
      </c>
      <c r="B42" s="281" t="s">
        <v>481</v>
      </c>
      <c r="C42" s="285">
        <v>45178</v>
      </c>
      <c r="D42" s="285">
        <v>45991</v>
      </c>
      <c r="E42" s="285">
        <v>45178</v>
      </c>
      <c r="F42" s="285" t="s">
        <v>424</v>
      </c>
      <c r="G42" s="286" t="s">
        <v>567</v>
      </c>
      <c r="H42" s="286" t="s">
        <v>569</v>
      </c>
      <c r="I42" s="280" t="s">
        <v>518</v>
      </c>
      <c r="J42" s="281" t="s">
        <v>424</v>
      </c>
      <c r="N42" s="238" t="str">
        <f t="shared" si="0"/>
        <v>M_00.0021.0000213.1.</v>
      </c>
    </row>
    <row r="43" spans="1:14" x14ac:dyDescent="0.25">
      <c r="A43" s="281" t="s">
        <v>482</v>
      </c>
      <c r="B43" s="281" t="s">
        <v>483</v>
      </c>
      <c r="C43" s="285">
        <v>45139</v>
      </c>
      <c r="D43" s="285">
        <v>45930</v>
      </c>
      <c r="E43" s="285">
        <v>45139</v>
      </c>
      <c r="F43" s="285" t="s">
        <v>424</v>
      </c>
      <c r="G43" s="286" t="s">
        <v>568</v>
      </c>
      <c r="H43" s="286" t="s">
        <v>571</v>
      </c>
      <c r="I43" s="280" t="s">
        <v>518</v>
      </c>
      <c r="J43" s="281" t="s">
        <v>424</v>
      </c>
      <c r="N43" s="238" t="str">
        <f t="shared" si="0"/>
        <v>M_00.0021.0000213.2.</v>
      </c>
    </row>
    <row r="44" spans="1:14" x14ac:dyDescent="0.25">
      <c r="A44" s="281" t="s">
        <v>484</v>
      </c>
      <c r="B44" s="281" t="s">
        <v>485</v>
      </c>
      <c r="C44" s="285" t="s">
        <v>424</v>
      </c>
      <c r="D44" s="285" t="s">
        <v>424</v>
      </c>
      <c r="E44" s="285" t="s">
        <v>424</v>
      </c>
      <c r="F44" s="285" t="s">
        <v>424</v>
      </c>
      <c r="G44" s="286" t="s">
        <v>424</v>
      </c>
      <c r="H44" s="286" t="s">
        <v>424</v>
      </c>
      <c r="I44" s="280" t="s">
        <v>518</v>
      </c>
      <c r="J44" s="281" t="s">
        <v>424</v>
      </c>
      <c r="N44" s="238" t="str">
        <f t="shared" si="0"/>
        <v>M_00.0021.0000213.3.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M_00.0021.0000213.4.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M_00.0021.0000213.5.</v>
      </c>
    </row>
    <row r="47" spans="1:14" ht="63" x14ac:dyDescent="0.25">
      <c r="A47" s="281" t="s">
        <v>490</v>
      </c>
      <c r="B47" s="281" t="s">
        <v>491</v>
      </c>
      <c r="C47" s="285" t="s">
        <v>424</v>
      </c>
      <c r="D47" s="285" t="s">
        <v>424</v>
      </c>
      <c r="E47" s="285">
        <v>45280</v>
      </c>
      <c r="F47" s="285" t="s">
        <v>424</v>
      </c>
      <c r="G47" s="286" t="s">
        <v>567</v>
      </c>
      <c r="H47" s="286" t="s">
        <v>569</v>
      </c>
      <c r="I47" s="280" t="s">
        <v>545</v>
      </c>
      <c r="J47" s="281" t="s">
        <v>424</v>
      </c>
      <c r="N47" s="238" t="str">
        <f t="shared" si="0"/>
        <v>M_00.0021.0000213.6.</v>
      </c>
    </row>
    <row r="48" spans="1:14" x14ac:dyDescent="0.25">
      <c r="A48" s="280">
        <v>4</v>
      </c>
      <c r="B48" s="280" t="s">
        <v>492</v>
      </c>
      <c r="C48" s="285">
        <v>45278</v>
      </c>
      <c r="D48" s="285">
        <v>46021</v>
      </c>
      <c r="E48" s="285" t="s">
        <v>424</v>
      </c>
      <c r="F48" s="285" t="s">
        <v>424</v>
      </c>
      <c r="G48" s="286">
        <v>0.5</v>
      </c>
      <c r="H48" s="286">
        <v>0</v>
      </c>
      <c r="I48" s="280" t="s">
        <v>544</v>
      </c>
      <c r="J48" s="280" t="s">
        <v>424</v>
      </c>
      <c r="N48" s="238" t="str">
        <f t="shared" si="0"/>
        <v>M_00.0021.0000214</v>
      </c>
    </row>
    <row r="49" spans="1:14" x14ac:dyDescent="0.25">
      <c r="A49" s="281" t="s">
        <v>493</v>
      </c>
      <c r="B49" s="281" t="s">
        <v>494</v>
      </c>
      <c r="C49" s="285">
        <v>45278</v>
      </c>
      <c r="D49" s="285">
        <v>46012</v>
      </c>
      <c r="E49" s="285" t="s">
        <v>424</v>
      </c>
      <c r="F49" s="285" t="s">
        <v>424</v>
      </c>
      <c r="G49" s="286" t="s">
        <v>567</v>
      </c>
      <c r="H49" s="286" t="s">
        <v>569</v>
      </c>
      <c r="I49" s="280" t="s">
        <v>518</v>
      </c>
      <c r="J49" s="281" t="s">
        <v>424</v>
      </c>
      <c r="N49" s="238" t="str">
        <f t="shared" si="0"/>
        <v>M_00.0021.0000214.1.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M_00.0021.0000214.2.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M_00.0021.0000214.3.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M_00.0021.0000214.4.</v>
      </c>
    </row>
    <row r="53" spans="1:14" x14ac:dyDescent="0.25">
      <c r="A53" s="281" t="s">
        <v>501</v>
      </c>
      <c r="B53" s="284" t="s">
        <v>502</v>
      </c>
      <c r="C53" s="285">
        <v>45281</v>
      </c>
      <c r="D53" s="285">
        <v>46021</v>
      </c>
      <c r="E53" s="285" t="s">
        <v>424</v>
      </c>
      <c r="F53" s="285" t="s">
        <v>424</v>
      </c>
      <c r="G53" s="286" t="s">
        <v>567</v>
      </c>
      <c r="H53" s="286" t="s">
        <v>569</v>
      </c>
      <c r="I53" s="280" t="s">
        <v>518</v>
      </c>
      <c r="J53" s="281" t="s">
        <v>424</v>
      </c>
      <c r="N53" s="238" t="str">
        <f t="shared" si="0"/>
        <v>M_00.0021.0000214.5.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M_00.0021.0000214.6.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2025-11-11T08:28:27Z</dcterms:modified>
</cp:coreProperties>
</file>